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autoCompressPictures="0"/>
  <bookViews>
    <workbookView xWindow="0" yWindow="0" windowWidth="38400" windowHeight="21600" activeTab="3"/>
  </bookViews>
  <sheets>
    <sheet name="Experiment 1" sheetId="1" r:id="rId1"/>
    <sheet name="Experiment 2" sheetId="2" r:id="rId2"/>
    <sheet name="Final Results" sheetId="3" r:id="rId3"/>
    <sheet name="Attempt to replicate results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4" l="1"/>
  <c r="F9" i="4"/>
  <c r="F3" i="4"/>
  <c r="L42" i="4"/>
  <c r="L35" i="4"/>
  <c r="C10" i="4"/>
  <c r="F11" i="4"/>
  <c r="I10" i="4"/>
  <c r="P13" i="4"/>
  <c r="U18" i="4"/>
  <c r="V18" i="4"/>
  <c r="X18" i="4"/>
  <c r="U8" i="4"/>
  <c r="V8" i="4"/>
  <c r="X8" i="4"/>
  <c r="X22" i="4"/>
  <c r="C30" i="4"/>
  <c r="X24" i="4"/>
  <c r="U9" i="4"/>
  <c r="V9" i="4"/>
  <c r="X9" i="4"/>
  <c r="U10" i="4"/>
  <c r="V10" i="4"/>
  <c r="X10" i="4"/>
  <c r="U11" i="4"/>
  <c r="V11" i="4"/>
  <c r="X11" i="4"/>
  <c r="U12" i="4"/>
  <c r="V12" i="4"/>
  <c r="X12" i="4"/>
  <c r="U13" i="4"/>
  <c r="V13" i="4"/>
  <c r="X13" i="4"/>
  <c r="U14" i="4"/>
  <c r="V14" i="4"/>
  <c r="X14" i="4"/>
  <c r="U15" i="4"/>
  <c r="V15" i="4"/>
  <c r="X15" i="4"/>
  <c r="U16" i="4"/>
  <c r="V16" i="4"/>
  <c r="X16" i="4"/>
  <c r="U17" i="4"/>
  <c r="V17" i="4"/>
  <c r="X17" i="4"/>
  <c r="W24" i="4"/>
  <c r="T9" i="4"/>
  <c r="T10" i="4"/>
  <c r="T11" i="4"/>
  <c r="T12" i="4"/>
  <c r="T13" i="4"/>
  <c r="T14" i="4"/>
  <c r="T15" i="4"/>
  <c r="T16" i="4"/>
  <c r="T17" i="4"/>
  <c r="T18" i="4"/>
  <c r="T8" i="4"/>
  <c r="O12" i="4"/>
  <c r="O11" i="4"/>
  <c r="F1" i="4"/>
  <c r="F2" i="4"/>
  <c r="F7" i="4"/>
  <c r="F8" i="4"/>
  <c r="K10" i="4"/>
  <c r="M10" i="4"/>
  <c r="A19" i="4"/>
  <c r="A18" i="4"/>
  <c r="A15" i="4"/>
  <c r="A16" i="4"/>
  <c r="F6" i="4"/>
  <c r="C5" i="3"/>
  <c r="C6" i="3"/>
  <c r="C8" i="3"/>
  <c r="C12" i="3"/>
  <c r="C3" i="2"/>
  <c r="H3" i="2"/>
  <c r="D3" i="2"/>
  <c r="E3" i="2"/>
  <c r="F3" i="2"/>
  <c r="G3" i="2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F19" i="2"/>
  <c r="G19" i="2"/>
  <c r="C20" i="2"/>
  <c r="D20" i="2"/>
  <c r="F20" i="2"/>
  <c r="G20" i="2"/>
  <c r="C21" i="2"/>
  <c r="D21" i="2"/>
  <c r="F21" i="2"/>
  <c r="G21" i="2"/>
  <c r="C22" i="2"/>
  <c r="D22" i="2"/>
  <c r="F22" i="2"/>
  <c r="G22" i="2"/>
  <c r="C23" i="2"/>
  <c r="D23" i="2"/>
  <c r="F23" i="2"/>
  <c r="G23" i="2"/>
  <c r="C24" i="2"/>
  <c r="D24" i="2"/>
  <c r="F24" i="2"/>
  <c r="G24" i="2"/>
  <c r="C25" i="2"/>
  <c r="D25" i="2"/>
  <c r="F25" i="2"/>
  <c r="G25" i="2"/>
  <c r="C26" i="2"/>
  <c r="D26" i="2"/>
  <c r="F26" i="2"/>
  <c r="G26" i="2"/>
  <c r="C27" i="2"/>
  <c r="D27" i="2"/>
  <c r="F27" i="2"/>
  <c r="G27" i="2"/>
  <c r="C28" i="2"/>
  <c r="D28" i="2"/>
  <c r="F28" i="2"/>
  <c r="G28" i="2"/>
  <c r="C29" i="2"/>
  <c r="D29" i="2"/>
  <c r="F29" i="2"/>
  <c r="G29" i="2"/>
  <c r="C30" i="2"/>
  <c r="D30" i="2"/>
  <c r="F30" i="2"/>
  <c r="G30" i="2"/>
  <c r="C31" i="2"/>
  <c r="D31" i="2"/>
  <c r="F31" i="2"/>
  <c r="G31" i="2"/>
  <c r="C32" i="2"/>
  <c r="D32" i="2"/>
  <c r="F32" i="2"/>
  <c r="G32" i="2"/>
  <c r="C33" i="2"/>
  <c r="D33" i="2"/>
  <c r="F33" i="2"/>
  <c r="G33" i="2"/>
  <c r="C34" i="2"/>
  <c r="D34" i="2"/>
  <c r="F34" i="2"/>
  <c r="G34" i="2"/>
  <c r="C35" i="2"/>
  <c r="D35" i="2"/>
  <c r="F35" i="2"/>
  <c r="G35" i="2"/>
  <c r="C36" i="2"/>
  <c r="D36" i="2"/>
  <c r="F36" i="2"/>
  <c r="G36" i="2"/>
  <c r="E2" i="2"/>
  <c r="C2" i="2"/>
  <c r="F2" i="2"/>
  <c r="G2" i="2"/>
  <c r="K35" i="1"/>
  <c r="C18" i="1"/>
  <c r="G18" i="1"/>
  <c r="H18" i="1"/>
  <c r="C3" i="1"/>
  <c r="G3" i="1"/>
  <c r="H3" i="1"/>
  <c r="C4" i="1"/>
  <c r="G4" i="1"/>
  <c r="H4" i="1"/>
  <c r="C5" i="1"/>
  <c r="G5" i="1"/>
  <c r="H5" i="1"/>
  <c r="C6" i="1"/>
  <c r="G6" i="1"/>
  <c r="H6" i="1"/>
  <c r="C7" i="1"/>
  <c r="G7" i="1"/>
  <c r="H7" i="1"/>
  <c r="C8" i="1"/>
  <c r="G8" i="1"/>
  <c r="H8" i="1"/>
  <c r="C9" i="1"/>
  <c r="G9" i="1"/>
  <c r="H9" i="1"/>
  <c r="C10" i="1"/>
  <c r="G10" i="1"/>
  <c r="H10" i="1"/>
  <c r="C11" i="1"/>
  <c r="G11" i="1"/>
  <c r="H11" i="1"/>
  <c r="C12" i="1"/>
  <c r="G12" i="1"/>
  <c r="H12" i="1"/>
  <c r="C13" i="1"/>
  <c r="G13" i="1"/>
  <c r="H13" i="1"/>
  <c r="C14" i="1"/>
  <c r="G14" i="1"/>
  <c r="H14" i="1"/>
  <c r="C15" i="1"/>
  <c r="G15" i="1"/>
  <c r="H15" i="1"/>
  <c r="C16" i="1"/>
  <c r="G16" i="1"/>
  <c r="H16" i="1"/>
  <c r="C17" i="1"/>
  <c r="G17" i="1"/>
  <c r="H17" i="1"/>
  <c r="C19" i="1"/>
  <c r="G19" i="1"/>
  <c r="H19" i="1"/>
  <c r="C20" i="1"/>
  <c r="G20" i="1"/>
  <c r="H20" i="1"/>
  <c r="C21" i="1"/>
  <c r="G21" i="1"/>
  <c r="H21" i="1"/>
  <c r="C22" i="1"/>
  <c r="G22" i="1"/>
  <c r="H22" i="1"/>
  <c r="C23" i="1"/>
  <c r="G23" i="1"/>
  <c r="H23" i="1"/>
  <c r="C24" i="1"/>
  <c r="G24" i="1"/>
  <c r="H24" i="1"/>
  <c r="C25" i="1"/>
  <c r="G25" i="1"/>
  <c r="H25" i="1"/>
  <c r="C26" i="1"/>
  <c r="G26" i="1"/>
  <c r="H26" i="1"/>
  <c r="C27" i="1"/>
  <c r="G27" i="1"/>
  <c r="H27" i="1"/>
  <c r="C28" i="1"/>
  <c r="G28" i="1"/>
  <c r="H28" i="1"/>
  <c r="C29" i="1"/>
  <c r="G29" i="1"/>
  <c r="H29" i="1"/>
  <c r="C30" i="1"/>
  <c r="G30" i="1"/>
  <c r="H30" i="1"/>
  <c r="C31" i="1"/>
  <c r="G31" i="1"/>
  <c r="H31" i="1"/>
  <c r="C32" i="1"/>
  <c r="G32" i="1"/>
  <c r="H32" i="1"/>
  <c r="C33" i="1"/>
  <c r="G33" i="1"/>
  <c r="H33" i="1"/>
  <c r="C34" i="1"/>
  <c r="G34" i="1"/>
  <c r="H34" i="1"/>
  <c r="C35" i="1"/>
  <c r="G35" i="1"/>
  <c r="H35" i="1"/>
  <c r="C2" i="1"/>
  <c r="G2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</calcChain>
</file>

<file path=xl/sharedStrings.xml><?xml version="1.0" encoding="utf-8"?>
<sst xmlns="http://schemas.openxmlformats.org/spreadsheetml/2006/main" count="52" uniqueCount="43">
  <si>
    <t>V</t>
  </si>
  <si>
    <t>I</t>
  </si>
  <si>
    <t>I^(2/3)</t>
  </si>
  <si>
    <t>I (micro A)</t>
  </si>
  <si>
    <t>I (mA)</t>
  </si>
  <si>
    <t>log  of I (mA)</t>
  </si>
  <si>
    <t>back current</t>
  </si>
  <si>
    <t>dx</t>
  </si>
  <si>
    <t>dx/x</t>
  </si>
  <si>
    <t>|b|z dx/x</t>
  </si>
  <si>
    <t>Ionisation potential</t>
  </si>
  <si>
    <t>V_breakdown</t>
  </si>
  <si>
    <t>V_0</t>
  </si>
  <si>
    <t>I error</t>
  </si>
  <si>
    <t>dz = z dx/x</t>
  </si>
  <si>
    <t>\epsilon_0</t>
  </si>
  <si>
    <t>Constants</t>
  </si>
  <si>
    <t>L</t>
  </si>
  <si>
    <t>R</t>
  </si>
  <si>
    <t>Experiment 1: e/m</t>
  </si>
  <si>
    <t>Slope</t>
  </si>
  <si>
    <t>A</t>
  </si>
  <si>
    <t>e/m</t>
  </si>
  <si>
    <t>y</t>
  </si>
  <si>
    <t>x</t>
  </si>
  <si>
    <t>m</t>
  </si>
  <si>
    <t>m^(-3/2)</t>
  </si>
  <si>
    <t>eps</t>
  </si>
  <si>
    <t>2pi</t>
  </si>
  <si>
    <t>4L</t>
  </si>
  <si>
    <t>9R</t>
  </si>
  <si>
    <t>(4L/9R)</t>
  </si>
  <si>
    <t>2pi*eps*(4L/9R)</t>
  </si>
  <si>
    <t>root(2e/m)</t>
  </si>
  <si>
    <t>2e/m</t>
  </si>
  <si>
    <t>Cheungslope</t>
  </si>
  <si>
    <t>Paper's answer</t>
  </si>
  <si>
    <t>sqrt(2e/m)</t>
  </si>
  <si>
    <t>V^(3/2)</t>
  </si>
  <si>
    <t>kV^(3/2)</t>
  </si>
  <si>
    <t>mA</t>
  </si>
  <si>
    <t>mA^(2/3)</t>
  </si>
  <si>
    <t>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</si>
</sst>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E+00"/>
    <numFmt numFmtId="173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1" fontId="0" fillId="0" borderId="0" xfId="0" applyNumberFormat="1"/>
    <xf numFmtId="2" fontId="0" fillId="0" borderId="0" xfId="0" applyNumberFormat="1"/>
    <xf numFmtId="173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Discharge</a:t>
            </a:r>
            <a:r>
              <a:rPr lang="en-IE" baseline="0"/>
              <a:t> current I versus applied voltage V (tube 884)</a:t>
            </a:r>
            <a:endParaRPr lang="en-IE"/>
          </a:p>
        </c:rich>
      </c:tx>
      <c:layout>
        <c:manualLayout>
          <c:xMode val="edge"/>
          <c:yMode val="edge"/>
          <c:x val="0.00123701334208224"/>
          <c:y val="0.03470715835141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'Experiment 1'!$C$2:$C$35</c:f>
              <c:numCache>
                <c:formatCode>General</c:formatCode>
                <c:ptCount val="34"/>
                <c:pt idx="0">
                  <c:v>0.840092582388053</c:v>
                </c:pt>
                <c:pt idx="1">
                  <c:v>1.160397208403195</c:v>
                </c:pt>
                <c:pt idx="2">
                  <c:v>1.474241686241139</c:v>
                </c:pt>
                <c:pt idx="3">
                  <c:v>1.767577948437148</c:v>
                </c:pt>
                <c:pt idx="4">
                  <c:v>2.052256092429533</c:v>
                </c:pt>
                <c:pt idx="5">
                  <c:v>2.335852834054696</c:v>
                </c:pt>
                <c:pt idx="6">
                  <c:v>2.607282345162737</c:v>
                </c:pt>
                <c:pt idx="7">
                  <c:v>2.888823409648892</c:v>
                </c:pt>
                <c:pt idx="8">
                  <c:v>3.183456284521967</c:v>
                </c:pt>
                <c:pt idx="9">
                  <c:v>3.454273217865247</c:v>
                </c:pt>
                <c:pt idx="10">
                  <c:v>3.739029269450776</c:v>
                </c:pt>
                <c:pt idx="11">
                  <c:v>4.02662241860845</c:v>
                </c:pt>
                <c:pt idx="12">
                  <c:v>4.31391919964136</c:v>
                </c:pt>
                <c:pt idx="13">
                  <c:v>4.59816562019333</c:v>
                </c:pt>
                <c:pt idx="14">
                  <c:v>4.885951709870831</c:v>
                </c:pt>
                <c:pt idx="15">
                  <c:v>5.159628200681271</c:v>
                </c:pt>
                <c:pt idx="16">
                  <c:v>5.43195050142044</c:v>
                </c:pt>
                <c:pt idx="17">
                  <c:v>5.692021256962219</c:v>
                </c:pt>
                <c:pt idx="18">
                  <c:v>5.929864852689962</c:v>
                </c:pt>
                <c:pt idx="19">
                  <c:v>6.157658074165203</c:v>
                </c:pt>
                <c:pt idx="20">
                  <c:v>6.378673315531657</c:v>
                </c:pt>
                <c:pt idx="21">
                  <c:v>6.603708506574692</c:v>
                </c:pt>
                <c:pt idx="22">
                  <c:v>6.8351759985376</c:v>
                </c:pt>
                <c:pt idx="23">
                  <c:v>7.085347019948947</c:v>
                </c:pt>
                <c:pt idx="24">
                  <c:v>7.321324399299651</c:v>
                </c:pt>
                <c:pt idx="25">
                  <c:v>7.587479384245927</c:v>
                </c:pt>
                <c:pt idx="26">
                  <c:v>7.827614154456191</c:v>
                </c:pt>
                <c:pt idx="27">
                  <c:v>8.087579399090062</c:v>
                </c:pt>
                <c:pt idx="28">
                  <c:v>8.320335292207616</c:v>
                </c:pt>
                <c:pt idx="29">
                  <c:v>8.595418507988028</c:v>
                </c:pt>
                <c:pt idx="30">
                  <c:v>8.888543099974478</c:v>
                </c:pt>
                <c:pt idx="31">
                  <c:v>10.51565314589235</c:v>
                </c:pt>
                <c:pt idx="32">
                  <c:v>12.1019326193831</c:v>
                </c:pt>
                <c:pt idx="33">
                  <c:v>14.60235153216047</c:v>
                </c:pt>
              </c:numCache>
            </c:numRef>
          </c:xVal>
          <c:yVal>
            <c:numRef>
              <c:f>'Experiment 1'!$D$2:$D$35</c:f>
              <c:numCache>
                <c:formatCode>General</c:formatCode>
                <c:ptCount val="34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  <c:pt idx="7">
                  <c:v>4.0</c:v>
                </c:pt>
                <c:pt idx="8">
                  <c:v>4.5</c:v>
                </c:pt>
                <c:pt idx="9">
                  <c:v>5.0</c:v>
                </c:pt>
                <c:pt idx="10">
                  <c:v>5.5</c:v>
                </c:pt>
                <c:pt idx="11">
                  <c:v>6.0</c:v>
                </c:pt>
                <c:pt idx="12">
                  <c:v>6.5</c:v>
                </c:pt>
                <c:pt idx="13">
                  <c:v>7.0</c:v>
                </c:pt>
                <c:pt idx="14">
                  <c:v>7.5</c:v>
                </c:pt>
                <c:pt idx="15">
                  <c:v>8.0</c:v>
                </c:pt>
                <c:pt idx="16">
                  <c:v>8.5</c:v>
                </c:pt>
                <c:pt idx="17">
                  <c:v>9.0</c:v>
                </c:pt>
                <c:pt idx="18">
                  <c:v>9.5</c:v>
                </c:pt>
                <c:pt idx="19">
                  <c:v>10.0</c:v>
                </c:pt>
                <c:pt idx="20">
                  <c:v>10.5</c:v>
                </c:pt>
                <c:pt idx="21">
                  <c:v>11.0</c:v>
                </c:pt>
                <c:pt idx="22">
                  <c:v>11.5</c:v>
                </c:pt>
                <c:pt idx="23">
                  <c:v>12.0</c:v>
                </c:pt>
                <c:pt idx="24">
                  <c:v>12.5</c:v>
                </c:pt>
                <c:pt idx="25">
                  <c:v>13.0</c:v>
                </c:pt>
                <c:pt idx="26">
                  <c:v>13.5</c:v>
                </c:pt>
                <c:pt idx="27">
                  <c:v>14.0</c:v>
                </c:pt>
                <c:pt idx="28">
                  <c:v>14.5</c:v>
                </c:pt>
                <c:pt idx="29">
                  <c:v>15.0</c:v>
                </c:pt>
                <c:pt idx="30">
                  <c:v>15.5</c:v>
                </c:pt>
                <c:pt idx="31">
                  <c:v>16.0</c:v>
                </c:pt>
                <c:pt idx="32">
                  <c:v>16.5</c:v>
                </c:pt>
                <c:pt idx="33">
                  <c:v>17.0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877176"/>
        <c:axId val="2128886920"/>
      </c:scatterChart>
      <c:valAx>
        <c:axId val="2128877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Tube Current I2/3 (mA)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886920"/>
        <c:crosses val="autoZero"/>
        <c:crossBetween val="midCat"/>
      </c:valAx>
      <c:valAx>
        <c:axId val="212888692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Collector Voltage (V)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877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'Experiment 2'!$A$2:$A$36</c:f>
              <c:numCache>
                <c:formatCode>General</c:formatCode>
                <c:ptCount val="35"/>
                <c:pt idx="0">
                  <c:v>-9.0</c:v>
                </c:pt>
                <c:pt idx="1">
                  <c:v>-8.0</c:v>
                </c:pt>
                <c:pt idx="2">
                  <c:v>-7.0</c:v>
                </c:pt>
                <c:pt idx="3">
                  <c:v>-6.0</c:v>
                </c:pt>
                <c:pt idx="4">
                  <c:v>-5.5</c:v>
                </c:pt>
                <c:pt idx="5">
                  <c:v>-5.0</c:v>
                </c:pt>
                <c:pt idx="6">
                  <c:v>-4.5</c:v>
                </c:pt>
                <c:pt idx="7">
                  <c:v>-4.0</c:v>
                </c:pt>
                <c:pt idx="8">
                  <c:v>-3.5</c:v>
                </c:pt>
                <c:pt idx="9">
                  <c:v>-3.0</c:v>
                </c:pt>
                <c:pt idx="10">
                  <c:v>-2.5</c:v>
                </c:pt>
                <c:pt idx="11">
                  <c:v>-2.0</c:v>
                </c:pt>
                <c:pt idx="12">
                  <c:v>-1.5</c:v>
                </c:pt>
                <c:pt idx="13">
                  <c:v>-1.0</c:v>
                </c:pt>
                <c:pt idx="14">
                  <c:v>-0.5</c:v>
                </c:pt>
                <c:pt idx="15">
                  <c:v>0.0</c:v>
                </c:pt>
                <c:pt idx="16">
                  <c:v>0.5</c:v>
                </c:pt>
                <c:pt idx="17">
                  <c:v>1.0</c:v>
                </c:pt>
                <c:pt idx="18">
                  <c:v>1.5</c:v>
                </c:pt>
                <c:pt idx="19">
                  <c:v>2.0</c:v>
                </c:pt>
                <c:pt idx="20">
                  <c:v>3.0</c:v>
                </c:pt>
                <c:pt idx="21">
                  <c:v>4.0</c:v>
                </c:pt>
                <c:pt idx="22">
                  <c:v>5.0</c:v>
                </c:pt>
                <c:pt idx="23">
                  <c:v>6.0</c:v>
                </c:pt>
                <c:pt idx="24">
                  <c:v>7.0</c:v>
                </c:pt>
                <c:pt idx="25">
                  <c:v>8.0</c:v>
                </c:pt>
                <c:pt idx="26">
                  <c:v>9.0</c:v>
                </c:pt>
                <c:pt idx="27">
                  <c:v>10.0</c:v>
                </c:pt>
                <c:pt idx="28">
                  <c:v>11.0</c:v>
                </c:pt>
                <c:pt idx="29">
                  <c:v>12.0</c:v>
                </c:pt>
                <c:pt idx="30">
                  <c:v>13.0</c:v>
                </c:pt>
                <c:pt idx="31">
                  <c:v>14.0</c:v>
                </c:pt>
                <c:pt idx="32">
                  <c:v>15.0</c:v>
                </c:pt>
                <c:pt idx="33">
                  <c:v>16.0</c:v>
                </c:pt>
                <c:pt idx="34">
                  <c:v>17.0</c:v>
                </c:pt>
              </c:numCache>
            </c:numRef>
          </c:xVal>
          <c:yVal>
            <c:numRef>
              <c:f>'Experiment 2'!$B$2:$B$36</c:f>
              <c:numCache>
                <c:formatCode>General</c:formatCode>
                <c:ptCount val="35"/>
                <c:pt idx="0">
                  <c:v>-2.2</c:v>
                </c:pt>
                <c:pt idx="1">
                  <c:v>-2.0</c:v>
                </c:pt>
                <c:pt idx="2">
                  <c:v>-1.8</c:v>
                </c:pt>
                <c:pt idx="3">
                  <c:v>-1.5</c:v>
                </c:pt>
                <c:pt idx="4">
                  <c:v>-1.3</c:v>
                </c:pt>
                <c:pt idx="5">
                  <c:v>-0.7</c:v>
                </c:pt>
                <c:pt idx="6">
                  <c:v>0.1</c:v>
                </c:pt>
                <c:pt idx="7">
                  <c:v>2.2</c:v>
                </c:pt>
                <c:pt idx="8">
                  <c:v>4.3</c:v>
                </c:pt>
                <c:pt idx="9">
                  <c:v>8.5</c:v>
                </c:pt>
                <c:pt idx="10">
                  <c:v>13.7</c:v>
                </c:pt>
                <c:pt idx="11">
                  <c:v>20.5</c:v>
                </c:pt>
                <c:pt idx="12">
                  <c:v>29.0</c:v>
                </c:pt>
                <c:pt idx="13">
                  <c:v>45.0</c:v>
                </c:pt>
                <c:pt idx="14">
                  <c:v>90.9</c:v>
                </c:pt>
                <c:pt idx="15">
                  <c:v>239.0</c:v>
                </c:pt>
                <c:pt idx="16">
                  <c:v>770.0</c:v>
                </c:pt>
                <c:pt idx="17">
                  <c:v>1600.0</c:v>
                </c:pt>
                <c:pt idx="18">
                  <c:v>2300.0</c:v>
                </c:pt>
                <c:pt idx="19">
                  <c:v>3130.0</c:v>
                </c:pt>
                <c:pt idx="20">
                  <c:v>4260.0</c:v>
                </c:pt>
                <c:pt idx="21">
                  <c:v>4600.0</c:v>
                </c:pt>
                <c:pt idx="22">
                  <c:v>4860.0</c:v>
                </c:pt>
                <c:pt idx="23">
                  <c:v>5080.0</c:v>
                </c:pt>
                <c:pt idx="24">
                  <c:v>5230.0</c:v>
                </c:pt>
                <c:pt idx="25">
                  <c:v>5350.0</c:v>
                </c:pt>
                <c:pt idx="26">
                  <c:v>5450.0</c:v>
                </c:pt>
                <c:pt idx="27">
                  <c:v>5550.0</c:v>
                </c:pt>
                <c:pt idx="28">
                  <c:v>5660.0</c:v>
                </c:pt>
                <c:pt idx="29">
                  <c:v>5820.0</c:v>
                </c:pt>
                <c:pt idx="30">
                  <c:v>6170.0</c:v>
                </c:pt>
                <c:pt idx="31">
                  <c:v>6930.0</c:v>
                </c:pt>
                <c:pt idx="32">
                  <c:v>7880.0</c:v>
                </c:pt>
                <c:pt idx="33">
                  <c:v>8890.0</c:v>
                </c:pt>
                <c:pt idx="34">
                  <c:v>9710.0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927528"/>
        <c:axId val="2127930488"/>
      </c:scatterChart>
      <c:valAx>
        <c:axId val="212792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930488"/>
        <c:crosses val="autoZero"/>
        <c:crossBetween val="midCat"/>
      </c:valAx>
      <c:valAx>
        <c:axId val="2127930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7927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'Experiment 2'!$A$2:$A$24</c:f>
              <c:numCache>
                <c:formatCode>General</c:formatCode>
                <c:ptCount val="23"/>
                <c:pt idx="0">
                  <c:v>-9.0</c:v>
                </c:pt>
                <c:pt idx="1">
                  <c:v>-8.0</c:v>
                </c:pt>
                <c:pt idx="2">
                  <c:v>-7.0</c:v>
                </c:pt>
                <c:pt idx="3">
                  <c:v>-6.0</c:v>
                </c:pt>
                <c:pt idx="4">
                  <c:v>-5.5</c:v>
                </c:pt>
                <c:pt idx="5">
                  <c:v>-5.0</c:v>
                </c:pt>
                <c:pt idx="6">
                  <c:v>-4.5</c:v>
                </c:pt>
                <c:pt idx="7">
                  <c:v>-4.0</c:v>
                </c:pt>
                <c:pt idx="8">
                  <c:v>-3.5</c:v>
                </c:pt>
                <c:pt idx="9">
                  <c:v>-3.0</c:v>
                </c:pt>
                <c:pt idx="10">
                  <c:v>-2.5</c:v>
                </c:pt>
                <c:pt idx="11">
                  <c:v>-2.0</c:v>
                </c:pt>
                <c:pt idx="12">
                  <c:v>-1.5</c:v>
                </c:pt>
                <c:pt idx="13">
                  <c:v>-1.0</c:v>
                </c:pt>
                <c:pt idx="14">
                  <c:v>-0.5</c:v>
                </c:pt>
                <c:pt idx="15">
                  <c:v>0.0</c:v>
                </c:pt>
                <c:pt idx="16">
                  <c:v>0.5</c:v>
                </c:pt>
                <c:pt idx="17">
                  <c:v>1.0</c:v>
                </c:pt>
                <c:pt idx="18">
                  <c:v>1.5</c:v>
                </c:pt>
                <c:pt idx="19">
                  <c:v>2.0</c:v>
                </c:pt>
                <c:pt idx="20">
                  <c:v>3.0</c:v>
                </c:pt>
                <c:pt idx="21">
                  <c:v>4.0</c:v>
                </c:pt>
                <c:pt idx="22">
                  <c:v>5.0</c:v>
                </c:pt>
              </c:numCache>
            </c:numRef>
          </c:xVal>
          <c:yVal>
            <c:numRef>
              <c:f>'Experiment 2'!$D$2:$D$24</c:f>
              <c:numCache>
                <c:formatCode>General</c:formatCode>
                <c:ptCount val="23"/>
                <c:pt idx="0">
                  <c:v>-4.0</c:v>
                </c:pt>
                <c:pt idx="1">
                  <c:v>-3.698970004336019</c:v>
                </c:pt>
                <c:pt idx="2">
                  <c:v>-3.397940008672037</c:v>
                </c:pt>
                <c:pt idx="3">
                  <c:v>-3.154901959985743</c:v>
                </c:pt>
                <c:pt idx="4">
                  <c:v>-3.045757490560675</c:v>
                </c:pt>
                <c:pt idx="5">
                  <c:v>-2.823908740944318</c:v>
                </c:pt>
                <c:pt idx="6">
                  <c:v>-2.638272163982407</c:v>
                </c:pt>
                <c:pt idx="7">
                  <c:v>-2.356547323513813</c:v>
                </c:pt>
                <c:pt idx="8">
                  <c:v>-2.187086643357144</c:v>
                </c:pt>
                <c:pt idx="9">
                  <c:v>-1.97061622231479</c:v>
                </c:pt>
                <c:pt idx="10">
                  <c:v>-1.798602875679549</c:v>
                </c:pt>
                <c:pt idx="11">
                  <c:v>-1.643974142806877</c:v>
                </c:pt>
                <c:pt idx="12">
                  <c:v>-1.505845405981557</c:v>
                </c:pt>
                <c:pt idx="13">
                  <c:v>-1.326058001365912</c:v>
                </c:pt>
                <c:pt idx="14">
                  <c:v>-1.031050319018657</c:v>
                </c:pt>
                <c:pt idx="15">
                  <c:v>-0.617622696531886</c:v>
                </c:pt>
                <c:pt idx="16">
                  <c:v>-0.11227020271197</c:v>
                </c:pt>
                <c:pt idx="17">
                  <c:v>0.204716727400484</c:v>
                </c:pt>
                <c:pt idx="18">
                  <c:v>0.36214304958196</c:v>
                </c:pt>
                <c:pt idx="19">
                  <c:v>0.495849485226016</c:v>
                </c:pt>
                <c:pt idx="20">
                  <c:v>0.629633824744316</c:v>
                </c:pt>
                <c:pt idx="21">
                  <c:v>0.662965488085128</c:v>
                </c:pt>
                <c:pt idx="22">
                  <c:v>0.686832818989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957080"/>
        <c:axId val="2127960040"/>
      </c:scatterChart>
      <c:valAx>
        <c:axId val="2127957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960040"/>
        <c:crosses val="autoZero"/>
        <c:crossBetween val="midCat"/>
      </c:valAx>
      <c:valAx>
        <c:axId val="2127960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7957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1349375</xdr:colOff>
      <xdr:row>3</xdr:row>
      <xdr:rowOff>53974</xdr:rowOff>
    </xdr:from>
    <xdr:to>
      <xdr:col>23</xdr:col>
      <xdr:colOff>19050</xdr:colOff>
      <xdr:row>26</xdr:row>
      <xdr:rowOff>63499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1</xdr:row>
      <xdr:rowOff>180975</xdr:rowOff>
    </xdr:from>
    <xdr:to>
      <xdr:col>20</xdr:col>
      <xdr:colOff>219075</xdr:colOff>
      <xdr:row>16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17</xdr:row>
      <xdr:rowOff>38100</xdr:rowOff>
    </xdr:from>
    <xdr:to>
      <xdr:col>15</xdr:col>
      <xdr:colOff>171450</xdr:colOff>
      <xdr:row>31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O36" sqref="O36"/>
    </sheetView>
  </sheetViews>
  <sheetFormatPr baseColWidth="10" defaultColWidth="8.83203125" defaultRowHeight="14" x14ac:dyDescent="0"/>
  <cols>
    <col min="10" max="10" width="18.6640625" bestFit="1" customWidth="1"/>
  </cols>
  <sheetData>
    <row r="1" spans="1:8">
      <c r="A1" t="s">
        <v>0</v>
      </c>
      <c r="B1" t="s">
        <v>1</v>
      </c>
      <c r="C1" t="s">
        <v>2</v>
      </c>
      <c r="D1" t="s">
        <v>0</v>
      </c>
      <c r="F1" t="s">
        <v>7</v>
      </c>
      <c r="G1" t="s">
        <v>8</v>
      </c>
      <c r="H1" t="s">
        <v>9</v>
      </c>
    </row>
    <row r="2" spans="1:8">
      <c r="A2">
        <v>0.5</v>
      </c>
      <c r="B2">
        <v>0.77</v>
      </c>
      <c r="C2">
        <f t="shared" ref="C2:C35" si="0">B2^(2/3)</f>
        <v>0.84009258238805273</v>
      </c>
      <c r="D2">
        <f>A2</f>
        <v>0.5</v>
      </c>
      <c r="E2">
        <v>0.05</v>
      </c>
      <c r="F2">
        <v>0.05</v>
      </c>
      <c r="G2">
        <f>F2/B2</f>
        <v>6.4935064935064943E-2</v>
      </c>
      <c r="H2">
        <f>(2/3)*C2*G2</f>
        <v>3.6367644259223064E-2</v>
      </c>
    </row>
    <row r="3" spans="1:8">
      <c r="A3">
        <v>1</v>
      </c>
      <c r="B3">
        <v>1.25</v>
      </c>
      <c r="C3">
        <f t="shared" si="0"/>
        <v>1.1603972084031948</v>
      </c>
      <c r="D3">
        <f t="shared" ref="D3:D35" si="1">A3</f>
        <v>1</v>
      </c>
      <c r="E3">
        <v>0.05</v>
      </c>
      <c r="F3">
        <v>0.05</v>
      </c>
      <c r="G3">
        <f t="shared" ref="G3:G35" si="2">F3/B3</f>
        <v>0.04</v>
      </c>
      <c r="H3">
        <f t="shared" ref="H3:H35" si="3">(2/3)*C3*G3</f>
        <v>3.0943925557418525E-2</v>
      </c>
    </row>
    <row r="4" spans="1:8">
      <c r="A4">
        <v>1.5</v>
      </c>
      <c r="B4">
        <v>1.79</v>
      </c>
      <c r="C4">
        <f t="shared" si="0"/>
        <v>1.4742416862411394</v>
      </c>
      <c r="D4">
        <f t="shared" si="1"/>
        <v>1.5</v>
      </c>
      <c r="E4">
        <v>0.05</v>
      </c>
      <c r="F4">
        <v>0.05</v>
      </c>
      <c r="G4">
        <f t="shared" si="2"/>
        <v>2.793296089385475E-2</v>
      </c>
      <c r="H4">
        <f t="shared" si="3"/>
        <v>2.7453290246576154E-2</v>
      </c>
    </row>
    <row r="5" spans="1:8">
      <c r="A5">
        <v>2</v>
      </c>
      <c r="B5">
        <v>2.35</v>
      </c>
      <c r="C5">
        <f t="shared" si="0"/>
        <v>1.7675779484371485</v>
      </c>
      <c r="D5">
        <f t="shared" si="1"/>
        <v>2</v>
      </c>
      <c r="E5">
        <v>0.05</v>
      </c>
      <c r="F5">
        <v>0.05</v>
      </c>
      <c r="G5">
        <f t="shared" si="2"/>
        <v>2.1276595744680851E-2</v>
      </c>
      <c r="H5">
        <f t="shared" si="3"/>
        <v>2.5072027637406361E-2</v>
      </c>
    </row>
    <row r="6" spans="1:8">
      <c r="A6">
        <v>2.5</v>
      </c>
      <c r="B6">
        <v>2.94</v>
      </c>
      <c r="C6">
        <f t="shared" si="0"/>
        <v>2.0522560924295328</v>
      </c>
      <c r="D6">
        <f t="shared" si="1"/>
        <v>2.5</v>
      </c>
      <c r="E6">
        <v>0.05</v>
      </c>
      <c r="F6">
        <v>0.05</v>
      </c>
      <c r="G6">
        <f t="shared" si="2"/>
        <v>1.7006802721088437E-2</v>
      </c>
      <c r="H6">
        <f t="shared" si="3"/>
        <v>2.3268209664733933E-2</v>
      </c>
    </row>
    <row r="7" spans="1:8">
      <c r="A7">
        <v>3</v>
      </c>
      <c r="B7">
        <v>3.57</v>
      </c>
      <c r="C7">
        <f t="shared" si="0"/>
        <v>2.3358528340546965</v>
      </c>
      <c r="D7">
        <f t="shared" si="1"/>
        <v>3</v>
      </c>
      <c r="E7">
        <v>0.05</v>
      </c>
      <c r="F7">
        <v>0.05</v>
      </c>
      <c r="G7">
        <f t="shared" si="2"/>
        <v>1.4005602240896359E-2</v>
      </c>
      <c r="H7">
        <f t="shared" si="3"/>
        <v>2.1810017124693711E-2</v>
      </c>
    </row>
    <row r="8" spans="1:8">
      <c r="A8">
        <v>3.5</v>
      </c>
      <c r="B8">
        <v>4.21</v>
      </c>
      <c r="C8">
        <f t="shared" si="0"/>
        <v>2.6072823451627376</v>
      </c>
      <c r="D8">
        <f t="shared" si="1"/>
        <v>3.5</v>
      </c>
      <c r="E8">
        <v>0.05</v>
      </c>
      <c r="F8">
        <v>0.05</v>
      </c>
      <c r="G8">
        <f t="shared" si="2"/>
        <v>1.1876484560570073E-2</v>
      </c>
      <c r="H8">
        <f t="shared" si="3"/>
        <v>2.0643565678248123E-2</v>
      </c>
    </row>
    <row r="9" spans="1:8">
      <c r="A9">
        <v>4</v>
      </c>
      <c r="B9">
        <v>4.91</v>
      </c>
      <c r="C9">
        <f t="shared" si="0"/>
        <v>2.8888234096488921</v>
      </c>
      <c r="D9">
        <f t="shared" si="1"/>
        <v>4</v>
      </c>
      <c r="E9">
        <v>0.05</v>
      </c>
      <c r="F9">
        <v>0.05</v>
      </c>
      <c r="G9">
        <f t="shared" si="2"/>
        <v>1.0183299389002037E-2</v>
      </c>
      <c r="H9">
        <f t="shared" si="3"/>
        <v>1.9611835774941563E-2</v>
      </c>
    </row>
    <row r="10" spans="1:8">
      <c r="A10">
        <v>4.5</v>
      </c>
      <c r="B10">
        <v>5.68</v>
      </c>
      <c r="C10">
        <f t="shared" si="0"/>
        <v>3.1834562845219674</v>
      </c>
      <c r="D10">
        <f t="shared" si="1"/>
        <v>4.5</v>
      </c>
      <c r="E10">
        <v>0.05</v>
      </c>
      <c r="F10">
        <v>0.05</v>
      </c>
      <c r="G10">
        <f t="shared" si="2"/>
        <v>8.8028169014084511E-3</v>
      </c>
      <c r="H10">
        <f t="shared" si="3"/>
        <v>1.8682255190856614E-2</v>
      </c>
    </row>
    <row r="11" spans="1:8">
      <c r="A11">
        <v>5</v>
      </c>
      <c r="B11">
        <v>6.42</v>
      </c>
      <c r="C11">
        <f t="shared" si="0"/>
        <v>3.4542732178652469</v>
      </c>
      <c r="D11">
        <f t="shared" si="1"/>
        <v>5</v>
      </c>
      <c r="E11">
        <v>0.05</v>
      </c>
      <c r="F11">
        <v>0.05</v>
      </c>
      <c r="G11">
        <f t="shared" si="2"/>
        <v>7.7881619937694713E-3</v>
      </c>
      <c r="H11">
        <f t="shared" si="3"/>
        <v>1.7934959594315923E-2</v>
      </c>
    </row>
    <row r="12" spans="1:8">
      <c r="A12">
        <v>5.5</v>
      </c>
      <c r="B12">
        <v>7.23</v>
      </c>
      <c r="C12">
        <f t="shared" si="0"/>
        <v>3.7390292694507758</v>
      </c>
      <c r="D12">
        <f t="shared" si="1"/>
        <v>5.5</v>
      </c>
      <c r="E12">
        <v>0.05</v>
      </c>
      <c r="F12">
        <v>0.05</v>
      </c>
      <c r="G12">
        <f t="shared" si="2"/>
        <v>6.9156293222683261E-3</v>
      </c>
      <c r="H12">
        <f t="shared" si="3"/>
        <v>1.7238493635088867E-2</v>
      </c>
    </row>
    <row r="13" spans="1:8">
      <c r="A13">
        <v>6</v>
      </c>
      <c r="B13">
        <v>8.08</v>
      </c>
      <c r="C13">
        <f t="shared" si="0"/>
        <v>4.0266224186084498</v>
      </c>
      <c r="D13">
        <f t="shared" si="1"/>
        <v>6</v>
      </c>
      <c r="E13">
        <v>0.05</v>
      </c>
      <c r="F13">
        <v>0.05</v>
      </c>
      <c r="G13">
        <f t="shared" si="2"/>
        <v>6.1881188118811884E-3</v>
      </c>
      <c r="H13">
        <f t="shared" si="3"/>
        <v>1.6611478624622318E-2</v>
      </c>
    </row>
    <row r="14" spans="1:8">
      <c r="A14">
        <v>6.5</v>
      </c>
      <c r="B14">
        <v>8.9600000000000009</v>
      </c>
      <c r="C14">
        <f t="shared" si="0"/>
        <v>4.3139191996413597</v>
      </c>
      <c r="D14">
        <f t="shared" si="1"/>
        <v>6.5</v>
      </c>
      <c r="E14">
        <v>0.05</v>
      </c>
      <c r="F14">
        <v>0.05</v>
      </c>
      <c r="G14">
        <f t="shared" si="2"/>
        <v>5.580357142857143E-3</v>
      </c>
      <c r="H14">
        <f t="shared" si="3"/>
        <v>1.6048806546284818E-2</v>
      </c>
    </row>
    <row r="15" spans="1:8">
      <c r="A15">
        <v>7</v>
      </c>
      <c r="B15">
        <v>9.86</v>
      </c>
      <c r="C15">
        <f t="shared" si="0"/>
        <v>4.5981656201933294</v>
      </c>
      <c r="D15">
        <f t="shared" si="1"/>
        <v>7</v>
      </c>
      <c r="E15">
        <v>0.05</v>
      </c>
      <c r="F15">
        <v>0.05</v>
      </c>
      <c r="G15">
        <f t="shared" si="2"/>
        <v>5.070993914807303E-3</v>
      </c>
      <c r="H15">
        <f t="shared" si="3"/>
        <v>1.5544846586184347E-2</v>
      </c>
    </row>
    <row r="16" spans="1:8">
      <c r="A16">
        <v>7.5</v>
      </c>
      <c r="B16">
        <v>10.8</v>
      </c>
      <c r="C16">
        <f t="shared" si="0"/>
        <v>4.8859517098708309</v>
      </c>
      <c r="D16">
        <f t="shared" si="1"/>
        <v>7.5</v>
      </c>
      <c r="E16">
        <v>0.05</v>
      </c>
      <c r="F16">
        <v>0.05</v>
      </c>
      <c r="G16">
        <f t="shared" si="2"/>
        <v>4.6296296296296294E-3</v>
      </c>
      <c r="H16">
        <f t="shared" si="3"/>
        <v>1.5080097869971699E-2</v>
      </c>
    </row>
    <row r="17" spans="1:11">
      <c r="A17">
        <v>8</v>
      </c>
      <c r="B17">
        <v>11.72</v>
      </c>
      <c r="C17">
        <f t="shared" si="0"/>
        <v>5.1596282006812713</v>
      </c>
      <c r="D17">
        <f t="shared" si="1"/>
        <v>8</v>
      </c>
      <c r="E17">
        <v>0.05</v>
      </c>
      <c r="F17">
        <v>0.05</v>
      </c>
      <c r="G17">
        <f t="shared" si="2"/>
        <v>4.2662116040955633E-3</v>
      </c>
      <c r="H17">
        <f t="shared" si="3"/>
        <v>1.4674710468376767E-2</v>
      </c>
    </row>
    <row r="18" spans="1:11">
      <c r="A18">
        <v>8.5</v>
      </c>
      <c r="B18">
        <v>12.66</v>
      </c>
      <c r="C18">
        <f t="shared" si="0"/>
        <v>5.4319505014204399</v>
      </c>
      <c r="D18">
        <f t="shared" si="1"/>
        <v>8.5</v>
      </c>
      <c r="E18">
        <v>0.05</v>
      </c>
      <c r="F18">
        <v>0.05</v>
      </c>
      <c r="G18">
        <f t="shared" si="2"/>
        <v>3.9494470774091633E-3</v>
      </c>
      <c r="H18">
        <f>(2/3)*C18*G18</f>
        <v>1.4302134021644129E-2</v>
      </c>
    </row>
    <row r="19" spans="1:11">
      <c r="A19">
        <v>9</v>
      </c>
      <c r="B19">
        <v>13.58</v>
      </c>
      <c r="C19">
        <f t="shared" si="0"/>
        <v>5.6920212569622191</v>
      </c>
      <c r="D19">
        <f t="shared" si="1"/>
        <v>9</v>
      </c>
      <c r="E19">
        <v>0.05</v>
      </c>
      <c r="F19">
        <v>0.05</v>
      </c>
      <c r="G19">
        <f t="shared" si="2"/>
        <v>3.6818851251840946E-3</v>
      </c>
      <c r="H19">
        <f t="shared" si="3"/>
        <v>1.3971578932160578E-2</v>
      </c>
    </row>
    <row r="20" spans="1:11">
      <c r="A20">
        <v>9.5</v>
      </c>
      <c r="B20">
        <v>14.44</v>
      </c>
      <c r="C20">
        <f t="shared" si="0"/>
        <v>5.9298648526899616</v>
      </c>
      <c r="D20">
        <f t="shared" si="1"/>
        <v>9.5</v>
      </c>
      <c r="E20">
        <v>0.05</v>
      </c>
      <c r="F20">
        <v>0.05</v>
      </c>
      <c r="G20">
        <f t="shared" si="2"/>
        <v>3.4626038781163438E-3</v>
      </c>
      <c r="H20">
        <f t="shared" si="3"/>
        <v>1.3688515357086707E-2</v>
      </c>
    </row>
    <row r="21" spans="1:11">
      <c r="A21">
        <v>10</v>
      </c>
      <c r="B21">
        <v>15.28</v>
      </c>
      <c r="C21">
        <f t="shared" si="0"/>
        <v>6.1576580741652034</v>
      </c>
      <c r="D21">
        <f t="shared" si="1"/>
        <v>10</v>
      </c>
      <c r="E21">
        <v>0.05</v>
      </c>
      <c r="F21">
        <v>0.05</v>
      </c>
      <c r="G21">
        <f t="shared" si="2"/>
        <v>3.272251308900524E-3</v>
      </c>
      <c r="H21">
        <f t="shared" si="3"/>
        <v>1.3432936461965977E-2</v>
      </c>
    </row>
    <row r="22" spans="1:11">
      <c r="A22">
        <v>10.5</v>
      </c>
      <c r="B22">
        <v>16.11</v>
      </c>
      <c r="C22">
        <f t="shared" si="0"/>
        <v>6.3786733155316577</v>
      </c>
      <c r="D22">
        <f t="shared" si="1"/>
        <v>10.5</v>
      </c>
      <c r="E22">
        <v>0.05</v>
      </c>
      <c r="F22">
        <v>0.05</v>
      </c>
      <c r="G22">
        <f t="shared" si="2"/>
        <v>3.1036623215394167E-3</v>
      </c>
      <c r="H22">
        <f t="shared" si="3"/>
        <v>1.3198165353883008E-2</v>
      </c>
    </row>
    <row r="23" spans="1:11">
      <c r="A23">
        <v>11</v>
      </c>
      <c r="B23">
        <v>16.97</v>
      </c>
      <c r="C23">
        <f t="shared" si="0"/>
        <v>6.6037085065746917</v>
      </c>
      <c r="D23">
        <f t="shared" si="1"/>
        <v>11</v>
      </c>
      <c r="E23">
        <v>0.05</v>
      </c>
      <c r="F23">
        <v>0.05</v>
      </c>
      <c r="G23">
        <f t="shared" si="2"/>
        <v>2.9463759575721867E-3</v>
      </c>
      <c r="H23">
        <f t="shared" si="3"/>
        <v>1.29713386497244E-2</v>
      </c>
    </row>
    <row r="24" spans="1:11">
      <c r="A24">
        <v>11.5</v>
      </c>
      <c r="B24">
        <v>17.87</v>
      </c>
      <c r="C24">
        <f t="shared" si="0"/>
        <v>6.8351759985375997</v>
      </c>
      <c r="D24">
        <f t="shared" si="1"/>
        <v>11.5</v>
      </c>
      <c r="E24">
        <v>0.05</v>
      </c>
      <c r="F24">
        <v>0.05</v>
      </c>
      <c r="G24">
        <f t="shared" si="2"/>
        <v>2.7979854504756574E-3</v>
      </c>
      <c r="H24">
        <f t="shared" si="3"/>
        <v>1.2749815330232419E-2</v>
      </c>
    </row>
    <row r="25" spans="1:11">
      <c r="A25">
        <v>12</v>
      </c>
      <c r="B25">
        <v>18.86</v>
      </c>
      <c r="C25">
        <f t="shared" si="0"/>
        <v>7.085347019948947</v>
      </c>
      <c r="D25">
        <f t="shared" si="1"/>
        <v>12</v>
      </c>
      <c r="E25">
        <v>0.05</v>
      </c>
      <c r="F25">
        <v>0.05</v>
      </c>
      <c r="G25">
        <f t="shared" si="2"/>
        <v>2.6511134676564158E-3</v>
      </c>
      <c r="H25">
        <f t="shared" si="3"/>
        <v>1.2522705938403935E-2</v>
      </c>
    </row>
    <row r="26" spans="1:11">
      <c r="A26">
        <v>12.5</v>
      </c>
      <c r="B26">
        <v>19.809999999999999</v>
      </c>
      <c r="C26">
        <f t="shared" si="0"/>
        <v>7.3213243992996508</v>
      </c>
      <c r="D26">
        <f t="shared" si="1"/>
        <v>12.5</v>
      </c>
      <c r="E26">
        <v>0.05</v>
      </c>
      <c r="F26">
        <v>0.05</v>
      </c>
      <c r="G26">
        <f t="shared" si="2"/>
        <v>2.5239777889954572E-3</v>
      </c>
      <c r="H26">
        <f t="shared" si="3"/>
        <v>1.2319240113241883E-2</v>
      </c>
    </row>
    <row r="27" spans="1:11">
      <c r="A27">
        <v>13</v>
      </c>
      <c r="B27">
        <v>20.9</v>
      </c>
      <c r="C27">
        <f t="shared" si="0"/>
        <v>7.5874793842459276</v>
      </c>
      <c r="D27">
        <f t="shared" si="1"/>
        <v>13</v>
      </c>
      <c r="E27">
        <v>0.05</v>
      </c>
      <c r="F27">
        <v>0.05</v>
      </c>
      <c r="G27">
        <f t="shared" si="2"/>
        <v>2.3923444976076558E-3</v>
      </c>
      <c r="H27">
        <f t="shared" si="3"/>
        <v>1.2101243037074846E-2</v>
      </c>
    </row>
    <row r="28" spans="1:11">
      <c r="A28">
        <v>13.5</v>
      </c>
      <c r="B28">
        <v>21.9</v>
      </c>
      <c r="C28">
        <f t="shared" si="0"/>
        <v>7.8276141544561906</v>
      </c>
      <c r="D28">
        <f t="shared" si="1"/>
        <v>13.5</v>
      </c>
      <c r="E28">
        <v>0.05</v>
      </c>
      <c r="F28">
        <v>0.05</v>
      </c>
      <c r="G28">
        <f t="shared" si="2"/>
        <v>2.2831050228310505E-3</v>
      </c>
      <c r="H28">
        <f t="shared" si="3"/>
        <v>1.1914176795214903E-2</v>
      </c>
    </row>
    <row r="29" spans="1:11">
      <c r="A29">
        <v>14</v>
      </c>
      <c r="B29">
        <v>23</v>
      </c>
      <c r="C29">
        <f t="shared" si="0"/>
        <v>8.0875793990900622</v>
      </c>
      <c r="D29">
        <f t="shared" si="1"/>
        <v>14</v>
      </c>
      <c r="E29">
        <v>0.05</v>
      </c>
      <c r="F29">
        <v>0.05</v>
      </c>
      <c r="G29">
        <f t="shared" si="2"/>
        <v>2.1739130434782609E-3</v>
      </c>
      <c r="H29">
        <f t="shared" si="3"/>
        <v>1.172112956389864E-2</v>
      </c>
    </row>
    <row r="30" spans="1:11">
      <c r="A30">
        <v>14.5</v>
      </c>
      <c r="B30">
        <v>24</v>
      </c>
      <c r="C30">
        <f t="shared" si="0"/>
        <v>8.3203352922076164</v>
      </c>
      <c r="D30">
        <f t="shared" si="1"/>
        <v>14.5</v>
      </c>
      <c r="E30">
        <v>0.05</v>
      </c>
      <c r="F30">
        <v>0.05</v>
      </c>
      <c r="G30">
        <f t="shared" si="2"/>
        <v>2.0833333333333333E-3</v>
      </c>
      <c r="H30">
        <f t="shared" si="3"/>
        <v>1.1556021239177244E-2</v>
      </c>
    </row>
    <row r="31" spans="1:11">
      <c r="A31">
        <v>15</v>
      </c>
      <c r="B31">
        <v>25.2</v>
      </c>
      <c r="C31">
        <f t="shared" si="0"/>
        <v>8.595418507988029</v>
      </c>
      <c r="D31">
        <f t="shared" si="1"/>
        <v>15</v>
      </c>
      <c r="E31">
        <v>0.05</v>
      </c>
      <c r="F31">
        <v>0.05</v>
      </c>
      <c r="G31">
        <f t="shared" si="2"/>
        <v>1.9841269841269845E-3</v>
      </c>
      <c r="H31">
        <f t="shared" si="3"/>
        <v>1.1369601201042367E-2</v>
      </c>
    </row>
    <row r="32" spans="1:11">
      <c r="A32">
        <v>15.5</v>
      </c>
      <c r="B32">
        <v>26.5</v>
      </c>
      <c r="C32">
        <f t="shared" si="0"/>
        <v>8.8885430999744788</v>
      </c>
      <c r="D32">
        <f t="shared" si="1"/>
        <v>15.5</v>
      </c>
      <c r="E32">
        <v>0.05</v>
      </c>
      <c r="F32">
        <v>0.05</v>
      </c>
      <c r="G32">
        <f t="shared" si="2"/>
        <v>1.8867924528301887E-3</v>
      </c>
      <c r="H32">
        <f t="shared" si="3"/>
        <v>1.1180557358458463E-2</v>
      </c>
      <c r="K32" t="s">
        <v>10</v>
      </c>
    </row>
    <row r="33" spans="1:11">
      <c r="A33">
        <v>16</v>
      </c>
      <c r="B33">
        <v>34.1</v>
      </c>
      <c r="C33">
        <f t="shared" si="0"/>
        <v>10.515653145892353</v>
      </c>
      <c r="D33">
        <f t="shared" si="1"/>
        <v>16</v>
      </c>
      <c r="E33">
        <v>0.05</v>
      </c>
      <c r="F33">
        <v>0.05</v>
      </c>
      <c r="G33">
        <f t="shared" si="2"/>
        <v>1.4662756598240469E-3</v>
      </c>
      <c r="H33">
        <f t="shared" si="3"/>
        <v>1.0279230836649415E-2</v>
      </c>
      <c r="J33" t="s">
        <v>11</v>
      </c>
      <c r="K33">
        <v>15.5</v>
      </c>
    </row>
    <row r="34" spans="1:11">
      <c r="A34">
        <v>16.5</v>
      </c>
      <c r="B34">
        <v>42.1</v>
      </c>
      <c r="C34">
        <f t="shared" si="0"/>
        <v>12.101932619383101</v>
      </c>
      <c r="D34">
        <f t="shared" si="1"/>
        <v>16.5</v>
      </c>
      <c r="E34">
        <v>0.05</v>
      </c>
      <c r="F34">
        <v>0.05</v>
      </c>
      <c r="G34">
        <f t="shared" si="2"/>
        <v>1.1876484560570072E-3</v>
      </c>
      <c r="H34">
        <f t="shared" si="3"/>
        <v>9.5818943938108473E-3</v>
      </c>
      <c r="J34" t="s">
        <v>12</v>
      </c>
      <c r="K34">
        <v>-1.4570000000000001</v>
      </c>
    </row>
    <row r="35" spans="1:11">
      <c r="A35">
        <v>17</v>
      </c>
      <c r="B35">
        <v>55.8</v>
      </c>
      <c r="C35">
        <f t="shared" si="0"/>
        <v>14.602351532160471</v>
      </c>
      <c r="D35">
        <f t="shared" si="1"/>
        <v>17</v>
      </c>
      <c r="E35">
        <v>0.05</v>
      </c>
      <c r="F35">
        <v>0.05</v>
      </c>
      <c r="G35">
        <f t="shared" si="2"/>
        <v>8.96057347670251E-4</v>
      </c>
      <c r="H35">
        <f t="shared" si="3"/>
        <v>8.7230295891042239E-3</v>
      </c>
      <c r="J35" t="s">
        <v>10</v>
      </c>
      <c r="K35">
        <f>K33-K34</f>
        <v>16.957000000000001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8" sqref="G8"/>
    </sheetView>
  </sheetViews>
  <sheetFormatPr baseColWidth="10" defaultColWidth="8.83203125" defaultRowHeight="14" x14ac:dyDescent="0"/>
  <cols>
    <col min="2" max="2" width="9.83203125" bestFit="1" customWidth="1"/>
    <col min="4" max="4" width="12.6640625" bestFit="1" customWidth="1"/>
    <col min="7" max="7" width="10.1640625" bestFit="1" customWidth="1"/>
    <col min="8" max="8" width="11.83203125" bestFit="1" customWidth="1"/>
  </cols>
  <sheetData>
    <row r="1" spans="1:8">
      <c r="A1" t="s">
        <v>0</v>
      </c>
      <c r="B1" t="s">
        <v>3</v>
      </c>
      <c r="C1" t="s">
        <v>4</v>
      </c>
      <c r="D1" t="s">
        <v>5</v>
      </c>
      <c r="E1" t="s">
        <v>13</v>
      </c>
      <c r="F1" t="s">
        <v>8</v>
      </c>
      <c r="G1" t="s">
        <v>14</v>
      </c>
    </row>
    <row r="2" spans="1:8">
      <c r="A2">
        <v>-9</v>
      </c>
      <c r="B2">
        <v>-2.2000000000000002</v>
      </c>
      <c r="C2">
        <f>B2/1000</f>
        <v>-2.2000000000000001E-3</v>
      </c>
      <c r="D2">
        <v>-4</v>
      </c>
      <c r="E2">
        <f>0.1/1000</f>
        <v>1E-4</v>
      </c>
      <c r="F2">
        <f>E2/C2</f>
        <v>-4.5454545454545456E-2</v>
      </c>
      <c r="G2">
        <f>D2*F2</f>
        <v>0.18181818181818182</v>
      </c>
      <c r="H2" t="s">
        <v>6</v>
      </c>
    </row>
    <row r="3" spans="1:8">
      <c r="A3">
        <v>-8</v>
      </c>
      <c r="B3">
        <v>-2</v>
      </c>
      <c r="C3">
        <f t="shared" ref="C3:C36" si="0">B3/1000</f>
        <v>-2E-3</v>
      </c>
      <c r="D3">
        <f t="shared" ref="D3:D36" si="1">LOG10(C3 + $H$3)</f>
        <v>-3.6989700043360187</v>
      </c>
      <c r="E3">
        <f t="shared" ref="E3:E13" si="2">0.1/1000</f>
        <v>1E-4</v>
      </c>
      <c r="F3">
        <f t="shared" ref="F3:F36" si="3">E3/C3</f>
        <v>-0.05</v>
      </c>
      <c r="G3">
        <f t="shared" ref="G3:G36" si="4">D3*F3</f>
        <v>0.18494850021680095</v>
      </c>
      <c r="H3">
        <f>0.0022</f>
        <v>2.2000000000000001E-3</v>
      </c>
    </row>
    <row r="4" spans="1:8">
      <c r="A4">
        <v>-7</v>
      </c>
      <c r="B4">
        <v>-1.8</v>
      </c>
      <c r="C4">
        <f t="shared" si="0"/>
        <v>-1.8E-3</v>
      </c>
      <c r="D4">
        <f t="shared" si="1"/>
        <v>-3.3979400086720375</v>
      </c>
      <c r="E4">
        <f t="shared" si="2"/>
        <v>1E-4</v>
      </c>
      <c r="F4">
        <f t="shared" si="3"/>
        <v>-5.5555555555555559E-2</v>
      </c>
      <c r="G4">
        <f t="shared" si="4"/>
        <v>0.18877444492622431</v>
      </c>
    </row>
    <row r="5" spans="1:8">
      <c r="A5">
        <v>-6</v>
      </c>
      <c r="B5">
        <v>-1.5</v>
      </c>
      <c r="C5">
        <f t="shared" si="0"/>
        <v>-1.5E-3</v>
      </c>
      <c r="D5">
        <f t="shared" si="1"/>
        <v>-3.1549019599857431</v>
      </c>
      <c r="E5">
        <f t="shared" si="2"/>
        <v>1E-4</v>
      </c>
      <c r="F5">
        <f t="shared" si="3"/>
        <v>-6.6666666666666666E-2</v>
      </c>
      <c r="G5">
        <f t="shared" si="4"/>
        <v>0.21032679733238288</v>
      </c>
    </row>
    <row r="6" spans="1:8">
      <c r="A6">
        <v>-5.5</v>
      </c>
      <c r="B6">
        <v>-1.3</v>
      </c>
      <c r="C6">
        <f t="shared" si="0"/>
        <v>-1.2999999999999999E-3</v>
      </c>
      <c r="D6">
        <f t="shared" si="1"/>
        <v>-3.0457574905606752</v>
      </c>
      <c r="E6">
        <f t="shared" si="2"/>
        <v>1E-4</v>
      </c>
      <c r="F6">
        <f t="shared" si="3"/>
        <v>-7.6923076923076927E-2</v>
      </c>
      <c r="G6">
        <f t="shared" si="4"/>
        <v>0.23428903773543658</v>
      </c>
    </row>
    <row r="7" spans="1:8">
      <c r="A7">
        <v>-5</v>
      </c>
      <c r="B7">
        <v>-0.7</v>
      </c>
      <c r="C7">
        <f t="shared" si="0"/>
        <v>-6.9999999999999999E-4</v>
      </c>
      <c r="D7">
        <f t="shared" si="1"/>
        <v>-2.8239087409443187</v>
      </c>
      <c r="E7">
        <f t="shared" si="2"/>
        <v>1E-4</v>
      </c>
      <c r="F7">
        <f t="shared" si="3"/>
        <v>-0.14285714285714288</v>
      </c>
      <c r="G7">
        <f t="shared" si="4"/>
        <v>0.40341553442061701</v>
      </c>
    </row>
    <row r="8" spans="1:8">
      <c r="A8">
        <v>-4.5</v>
      </c>
      <c r="B8">
        <v>0.1</v>
      </c>
      <c r="C8">
        <f t="shared" si="0"/>
        <v>1E-4</v>
      </c>
      <c r="D8">
        <f t="shared" si="1"/>
        <v>-2.6382721639824069</v>
      </c>
      <c r="E8">
        <f t="shared" si="2"/>
        <v>1E-4</v>
      </c>
      <c r="F8">
        <f t="shared" si="3"/>
        <v>1</v>
      </c>
      <c r="G8">
        <f t="shared" si="4"/>
        <v>-2.6382721639824069</v>
      </c>
    </row>
    <row r="9" spans="1:8">
      <c r="A9">
        <v>-4</v>
      </c>
      <c r="B9">
        <v>2.2000000000000002</v>
      </c>
      <c r="C9">
        <f t="shared" si="0"/>
        <v>2.2000000000000001E-3</v>
      </c>
      <c r="D9">
        <f t="shared" si="1"/>
        <v>-2.3565473235138126</v>
      </c>
      <c r="E9">
        <f t="shared" si="2"/>
        <v>1E-4</v>
      </c>
      <c r="F9">
        <f t="shared" si="3"/>
        <v>4.5454545454545456E-2</v>
      </c>
      <c r="G9">
        <f t="shared" si="4"/>
        <v>-0.10711578743244603</v>
      </c>
    </row>
    <row r="10" spans="1:8">
      <c r="A10">
        <v>-3.5</v>
      </c>
      <c r="B10">
        <v>4.3</v>
      </c>
      <c r="C10">
        <f t="shared" si="0"/>
        <v>4.3E-3</v>
      </c>
      <c r="D10">
        <f t="shared" si="1"/>
        <v>-2.1870866433571443</v>
      </c>
      <c r="E10">
        <f t="shared" si="2"/>
        <v>1E-4</v>
      </c>
      <c r="F10">
        <f t="shared" si="3"/>
        <v>2.3255813953488372E-2</v>
      </c>
      <c r="G10">
        <f t="shared" si="4"/>
        <v>-5.0862480078073126E-2</v>
      </c>
    </row>
    <row r="11" spans="1:8">
      <c r="A11">
        <v>-3</v>
      </c>
      <c r="B11">
        <v>8.5</v>
      </c>
      <c r="C11">
        <f t="shared" si="0"/>
        <v>8.5000000000000006E-3</v>
      </c>
      <c r="D11">
        <f t="shared" si="1"/>
        <v>-1.9706162223147903</v>
      </c>
      <c r="E11">
        <f t="shared" si="2"/>
        <v>1E-4</v>
      </c>
      <c r="F11">
        <f t="shared" si="3"/>
        <v>1.1764705882352941E-2</v>
      </c>
      <c r="G11">
        <f t="shared" si="4"/>
        <v>-2.3183720262526943E-2</v>
      </c>
    </row>
    <row r="12" spans="1:8">
      <c r="A12">
        <v>-2.5</v>
      </c>
      <c r="B12">
        <v>13.7</v>
      </c>
      <c r="C12">
        <f t="shared" si="0"/>
        <v>1.3699999999999999E-2</v>
      </c>
      <c r="D12">
        <f t="shared" si="1"/>
        <v>-1.7986028756795487</v>
      </c>
      <c r="E12">
        <f t="shared" si="2"/>
        <v>1E-4</v>
      </c>
      <c r="F12">
        <f t="shared" si="3"/>
        <v>7.2992700729927022E-3</v>
      </c>
      <c r="G12">
        <f t="shared" si="4"/>
        <v>-1.3128488143646344E-2</v>
      </c>
    </row>
    <row r="13" spans="1:8">
      <c r="A13">
        <v>-2</v>
      </c>
      <c r="B13">
        <v>20.5</v>
      </c>
      <c r="C13">
        <f t="shared" si="0"/>
        <v>2.0500000000000001E-2</v>
      </c>
      <c r="D13">
        <f t="shared" si="1"/>
        <v>-1.6439741428068773</v>
      </c>
      <c r="E13">
        <f t="shared" si="2"/>
        <v>1E-4</v>
      </c>
      <c r="F13">
        <f t="shared" si="3"/>
        <v>4.8780487804878049E-3</v>
      </c>
      <c r="G13">
        <f t="shared" si="4"/>
        <v>-8.0193860624725721E-3</v>
      </c>
    </row>
    <row r="14" spans="1:8">
      <c r="A14">
        <v>-1.5</v>
      </c>
      <c r="B14">
        <v>29</v>
      </c>
      <c r="C14">
        <f t="shared" si="0"/>
        <v>2.9000000000000001E-2</v>
      </c>
      <c r="D14">
        <f t="shared" si="1"/>
        <v>-1.5058454059815571</v>
      </c>
      <c r="E14">
        <f>1/1000</f>
        <v>1E-3</v>
      </c>
      <c r="F14">
        <f t="shared" si="3"/>
        <v>3.4482758620689655E-2</v>
      </c>
      <c r="G14">
        <f t="shared" si="4"/>
        <v>-5.1925703654536449E-2</v>
      </c>
    </row>
    <row r="15" spans="1:8">
      <c r="A15">
        <v>-1</v>
      </c>
      <c r="B15">
        <v>45</v>
      </c>
      <c r="C15">
        <f t="shared" si="0"/>
        <v>4.4999999999999998E-2</v>
      </c>
      <c r="D15">
        <f t="shared" si="1"/>
        <v>-1.3260580013659122</v>
      </c>
      <c r="E15">
        <f t="shared" ref="E15:E18" si="5">1/1000</f>
        <v>1E-3</v>
      </c>
      <c r="F15">
        <f t="shared" si="3"/>
        <v>2.2222222222222223E-2</v>
      </c>
      <c r="G15">
        <f t="shared" si="4"/>
        <v>-2.9467955585909162E-2</v>
      </c>
    </row>
    <row r="16" spans="1:8">
      <c r="A16">
        <v>-0.5</v>
      </c>
      <c r="B16">
        <v>90.9</v>
      </c>
      <c r="C16">
        <f t="shared" si="0"/>
        <v>9.0900000000000009E-2</v>
      </c>
      <c r="D16">
        <f t="shared" si="1"/>
        <v>-1.0310503190186573</v>
      </c>
      <c r="E16">
        <f t="shared" si="5"/>
        <v>1E-3</v>
      </c>
      <c r="F16">
        <f t="shared" si="3"/>
        <v>1.1001100110011E-2</v>
      </c>
      <c r="G16">
        <f t="shared" si="4"/>
        <v>-1.1342687777983028E-2</v>
      </c>
    </row>
    <row r="17" spans="1:7">
      <c r="A17">
        <v>0</v>
      </c>
      <c r="B17">
        <v>239</v>
      </c>
      <c r="C17">
        <f t="shared" si="0"/>
        <v>0.23899999999999999</v>
      </c>
      <c r="D17">
        <f t="shared" si="1"/>
        <v>-0.61762269653188628</v>
      </c>
      <c r="E17">
        <f t="shared" si="5"/>
        <v>1E-3</v>
      </c>
      <c r="F17">
        <f t="shared" si="3"/>
        <v>4.1841004184100423E-3</v>
      </c>
      <c r="G17">
        <f t="shared" si="4"/>
        <v>-2.5841953829786042E-3</v>
      </c>
    </row>
    <row r="18" spans="1:7">
      <c r="A18">
        <v>0.5</v>
      </c>
      <c r="B18">
        <v>770</v>
      </c>
      <c r="C18">
        <f t="shared" si="0"/>
        <v>0.77</v>
      </c>
      <c r="D18">
        <f t="shared" si="1"/>
        <v>-0.11227020271196969</v>
      </c>
      <c r="E18">
        <f t="shared" si="5"/>
        <v>1E-3</v>
      </c>
      <c r="F18">
        <f t="shared" si="3"/>
        <v>1.2987012987012987E-3</v>
      </c>
      <c r="G18">
        <f t="shared" si="4"/>
        <v>-1.4580545806749311E-4</v>
      </c>
    </row>
    <row r="19" spans="1:7">
      <c r="A19">
        <v>1</v>
      </c>
      <c r="B19">
        <v>1600</v>
      </c>
      <c r="C19">
        <f t="shared" si="0"/>
        <v>1.6</v>
      </c>
      <c r="D19">
        <f t="shared" si="1"/>
        <v>0.20471672740048369</v>
      </c>
      <c r="E19">
        <v>0.05</v>
      </c>
      <c r="F19">
        <f t="shared" si="3"/>
        <v>3.125E-2</v>
      </c>
      <c r="G19">
        <f t="shared" si="4"/>
        <v>6.3973977312651153E-3</v>
      </c>
    </row>
    <row r="20" spans="1:7">
      <c r="A20">
        <v>1.5</v>
      </c>
      <c r="B20">
        <v>2300</v>
      </c>
      <c r="C20">
        <f t="shared" si="0"/>
        <v>2.2999999999999998</v>
      </c>
      <c r="D20">
        <f t="shared" si="1"/>
        <v>0.36214304958195997</v>
      </c>
      <c r="E20">
        <v>0.05</v>
      </c>
      <c r="F20">
        <f t="shared" si="3"/>
        <v>2.1739130434782612E-2</v>
      </c>
      <c r="G20">
        <f t="shared" si="4"/>
        <v>7.8726749909121749E-3</v>
      </c>
    </row>
    <row r="21" spans="1:7">
      <c r="A21">
        <v>2</v>
      </c>
      <c r="B21">
        <v>3130</v>
      </c>
      <c r="C21">
        <f t="shared" si="0"/>
        <v>3.13</v>
      </c>
      <c r="D21">
        <f t="shared" si="1"/>
        <v>0.49584948522601635</v>
      </c>
      <c r="E21">
        <v>0.05</v>
      </c>
      <c r="F21">
        <f t="shared" si="3"/>
        <v>1.5974440894568693E-2</v>
      </c>
      <c r="G21">
        <f t="shared" si="4"/>
        <v>7.920918294345311E-3</v>
      </c>
    </row>
    <row r="22" spans="1:7">
      <c r="A22">
        <v>3</v>
      </c>
      <c r="B22">
        <v>4260</v>
      </c>
      <c r="C22">
        <f t="shared" si="0"/>
        <v>4.26</v>
      </c>
      <c r="D22">
        <f t="shared" si="1"/>
        <v>0.62963382474431639</v>
      </c>
      <c r="E22">
        <v>0.05</v>
      </c>
      <c r="F22">
        <f t="shared" si="3"/>
        <v>1.1737089201877935E-2</v>
      </c>
      <c r="G22">
        <f t="shared" si="4"/>
        <v>7.3900683655436202E-3</v>
      </c>
    </row>
    <row r="23" spans="1:7">
      <c r="A23">
        <v>4</v>
      </c>
      <c r="B23">
        <v>4600</v>
      </c>
      <c r="C23">
        <f t="shared" si="0"/>
        <v>4.5999999999999996</v>
      </c>
      <c r="D23">
        <f t="shared" si="1"/>
        <v>0.66296548808512767</v>
      </c>
      <c r="E23">
        <v>0.05</v>
      </c>
      <c r="F23">
        <f t="shared" si="3"/>
        <v>1.0869565217391306E-2</v>
      </c>
      <c r="G23">
        <f t="shared" si="4"/>
        <v>7.2061466096209536E-3</v>
      </c>
    </row>
    <row r="24" spans="1:7">
      <c r="A24">
        <v>5</v>
      </c>
      <c r="B24">
        <v>4860</v>
      </c>
      <c r="C24">
        <f t="shared" si="0"/>
        <v>4.8600000000000003</v>
      </c>
      <c r="D24">
        <f t="shared" si="1"/>
        <v>0.68683281898900039</v>
      </c>
      <c r="E24">
        <v>0.05</v>
      </c>
      <c r="F24">
        <f t="shared" si="3"/>
        <v>1.0288065843621399E-2</v>
      </c>
      <c r="G24">
        <f t="shared" si="4"/>
        <v>7.0661812653189339E-3</v>
      </c>
    </row>
    <row r="25" spans="1:7">
      <c r="A25">
        <v>6</v>
      </c>
      <c r="B25">
        <v>5080</v>
      </c>
      <c r="C25">
        <f t="shared" si="0"/>
        <v>5.08</v>
      </c>
      <c r="D25">
        <f t="shared" si="1"/>
        <v>0.70605175185706559</v>
      </c>
      <c r="E25">
        <v>0.05</v>
      </c>
      <c r="F25">
        <f t="shared" si="3"/>
        <v>9.8425196850393699E-3</v>
      </c>
      <c r="G25">
        <f t="shared" si="4"/>
        <v>6.9493282663097003E-3</v>
      </c>
    </row>
    <row r="26" spans="1:7">
      <c r="A26">
        <v>7</v>
      </c>
      <c r="B26">
        <v>5230</v>
      </c>
      <c r="C26">
        <f t="shared" si="0"/>
        <v>5.23</v>
      </c>
      <c r="D26">
        <f t="shared" si="1"/>
        <v>0.71868433646993335</v>
      </c>
      <c r="E26">
        <v>0.05</v>
      </c>
      <c r="F26">
        <f t="shared" si="3"/>
        <v>9.5602294455066923E-3</v>
      </c>
      <c r="G26">
        <f t="shared" si="4"/>
        <v>6.8707871555442959E-3</v>
      </c>
    </row>
    <row r="27" spans="1:7">
      <c r="A27">
        <v>8</v>
      </c>
      <c r="B27">
        <v>5350</v>
      </c>
      <c r="C27">
        <f t="shared" si="0"/>
        <v>5.35</v>
      </c>
      <c r="D27">
        <f t="shared" si="1"/>
        <v>0.72853233369726611</v>
      </c>
      <c r="E27">
        <v>0.05</v>
      </c>
      <c r="F27">
        <f t="shared" si="3"/>
        <v>9.3457943925233655E-3</v>
      </c>
      <c r="G27">
        <f t="shared" si="4"/>
        <v>6.8087133990398707E-3</v>
      </c>
    </row>
    <row r="28" spans="1:7">
      <c r="A28">
        <v>9</v>
      </c>
      <c r="B28">
        <v>5450</v>
      </c>
      <c r="C28">
        <f t="shared" si="0"/>
        <v>5.45</v>
      </c>
      <c r="D28">
        <f t="shared" si="1"/>
        <v>0.73657177843616184</v>
      </c>
      <c r="E28">
        <v>0.05</v>
      </c>
      <c r="F28">
        <f t="shared" si="3"/>
        <v>9.1743119266055051E-3</v>
      </c>
      <c r="G28">
        <f t="shared" si="4"/>
        <v>6.757539251707907E-3</v>
      </c>
    </row>
    <row r="29" spans="1:7">
      <c r="A29">
        <v>10</v>
      </c>
      <c r="B29">
        <v>5550</v>
      </c>
      <c r="C29">
        <f t="shared" si="0"/>
        <v>5.55</v>
      </c>
      <c r="D29">
        <f t="shared" si="1"/>
        <v>0.74446510177892333</v>
      </c>
      <c r="E29">
        <v>0.05</v>
      </c>
      <c r="F29">
        <f t="shared" si="3"/>
        <v>9.0090090090090089E-3</v>
      </c>
      <c r="G29">
        <f t="shared" si="4"/>
        <v>6.7068928088191287E-3</v>
      </c>
    </row>
    <row r="30" spans="1:7">
      <c r="A30">
        <v>11</v>
      </c>
      <c r="B30">
        <v>5660</v>
      </c>
      <c r="C30">
        <f t="shared" si="0"/>
        <v>5.66</v>
      </c>
      <c r="D30">
        <f t="shared" si="1"/>
        <v>0.75298520543218372</v>
      </c>
      <c r="E30">
        <v>0.05</v>
      </c>
      <c r="F30">
        <f t="shared" si="3"/>
        <v>8.8339222614840993E-3</v>
      </c>
      <c r="G30">
        <f t="shared" si="4"/>
        <v>6.6518127688355456E-3</v>
      </c>
    </row>
    <row r="31" spans="1:7">
      <c r="A31">
        <v>12</v>
      </c>
      <c r="B31">
        <v>5820</v>
      </c>
      <c r="C31">
        <f t="shared" si="0"/>
        <v>5.82</v>
      </c>
      <c r="D31">
        <f t="shared" si="1"/>
        <v>0.76508711992871203</v>
      </c>
      <c r="E31">
        <v>0.05</v>
      </c>
      <c r="F31">
        <f t="shared" si="3"/>
        <v>8.5910652920962206E-3</v>
      </c>
      <c r="G31">
        <f t="shared" si="4"/>
        <v>6.5729134014494168E-3</v>
      </c>
    </row>
    <row r="32" spans="1:7">
      <c r="A32">
        <v>13</v>
      </c>
      <c r="B32">
        <v>6170</v>
      </c>
      <c r="C32">
        <f t="shared" si="0"/>
        <v>6.17</v>
      </c>
      <c r="D32">
        <f t="shared" si="1"/>
        <v>0.79043999021825029</v>
      </c>
      <c r="E32">
        <v>0.05</v>
      </c>
      <c r="F32">
        <f t="shared" si="3"/>
        <v>8.1037277147487843E-3</v>
      </c>
      <c r="G32">
        <f t="shared" si="4"/>
        <v>6.4055104555773932E-3</v>
      </c>
    </row>
    <row r="33" spans="1:7">
      <c r="A33">
        <v>14</v>
      </c>
      <c r="B33">
        <v>6930</v>
      </c>
      <c r="C33">
        <f t="shared" si="0"/>
        <v>6.93</v>
      </c>
      <c r="D33">
        <f t="shared" si="1"/>
        <v>0.84087108399620591</v>
      </c>
      <c r="E33">
        <v>0.05</v>
      </c>
      <c r="F33">
        <f t="shared" si="3"/>
        <v>7.2150072150072159E-3</v>
      </c>
      <c r="G33">
        <f t="shared" si="4"/>
        <v>6.0668909379235645E-3</v>
      </c>
    </row>
    <row r="34" spans="1:7">
      <c r="A34">
        <v>15</v>
      </c>
      <c r="B34">
        <v>7880</v>
      </c>
      <c r="C34">
        <f t="shared" si="0"/>
        <v>7.88</v>
      </c>
      <c r="D34">
        <f t="shared" si="1"/>
        <v>0.89664745029543158</v>
      </c>
      <c r="E34">
        <v>0.05</v>
      </c>
      <c r="F34">
        <f t="shared" si="3"/>
        <v>6.3451776649746201E-3</v>
      </c>
      <c r="G34">
        <f t="shared" si="4"/>
        <v>5.6893873749710132E-3</v>
      </c>
    </row>
    <row r="35" spans="1:7">
      <c r="A35">
        <v>16</v>
      </c>
      <c r="B35">
        <v>8890</v>
      </c>
      <c r="C35">
        <f t="shared" si="0"/>
        <v>8.89</v>
      </c>
      <c r="D35">
        <f t="shared" si="1"/>
        <v>0.94900922212407124</v>
      </c>
      <c r="E35">
        <v>0.05</v>
      </c>
      <c r="F35">
        <f t="shared" si="3"/>
        <v>5.6242969628796397E-3</v>
      </c>
      <c r="G35">
        <f t="shared" si="4"/>
        <v>5.337509685737183E-3</v>
      </c>
    </row>
    <row r="36" spans="1:7">
      <c r="A36">
        <v>17</v>
      </c>
      <c r="B36">
        <v>9710</v>
      </c>
      <c r="C36">
        <f t="shared" si="0"/>
        <v>9.7100000000000009</v>
      </c>
      <c r="D36">
        <f t="shared" si="1"/>
        <v>0.98731761710042121</v>
      </c>
      <c r="E36">
        <v>0.05</v>
      </c>
      <c r="F36">
        <f t="shared" si="3"/>
        <v>5.1493305870236872E-3</v>
      </c>
      <c r="G36">
        <f t="shared" si="4"/>
        <v>5.0840248048425402E-3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baseColWidth="10" defaultColWidth="8.83203125" defaultRowHeight="14" x14ac:dyDescent="0"/>
  <cols>
    <col min="2" max="2" width="10.5" bestFit="1" customWidth="1"/>
    <col min="3" max="3" width="19.5" customWidth="1"/>
  </cols>
  <sheetData>
    <row r="1" spans="1:4">
      <c r="A1" t="s">
        <v>19</v>
      </c>
    </row>
    <row r="3" spans="1:4">
      <c r="B3" t="s">
        <v>16</v>
      </c>
    </row>
    <row r="4" spans="1:4">
      <c r="B4" t="s">
        <v>15</v>
      </c>
      <c r="C4" s="1">
        <v>8.8539999999999992E-12</v>
      </c>
    </row>
    <row r="5" spans="1:4">
      <c r="B5" t="s">
        <v>17</v>
      </c>
      <c r="C5">
        <f>2.24/100</f>
        <v>2.2400000000000003E-2</v>
      </c>
    </row>
    <row r="6" spans="1:4">
      <c r="B6" t="s">
        <v>18</v>
      </c>
      <c r="C6">
        <f>0.15/100</f>
        <v>1.5E-3</v>
      </c>
    </row>
    <row r="8" spans="1:4">
      <c r="B8" t="s">
        <v>21</v>
      </c>
      <c r="C8">
        <f>2*PI()*C4*(4/9)*C5/C6</f>
        <v>3.692271492440902E-10</v>
      </c>
    </row>
    <row r="10" spans="1:4">
      <c r="B10" t="s">
        <v>20</v>
      </c>
      <c r="C10">
        <v>1.88855</v>
      </c>
      <c r="D10">
        <v>3.8000000000000002E-4</v>
      </c>
    </row>
    <row r="12" spans="1:4">
      <c r="B12" t="s">
        <v>22</v>
      </c>
      <c r="C12">
        <f>C10^3/(2*C8^2)</f>
        <v>2.4704053104457216E+19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>
      <selection activeCell="C9" sqref="C9"/>
    </sheetView>
  </sheetViews>
  <sheetFormatPr baseColWidth="10" defaultRowHeight="14" x14ac:dyDescent="0"/>
  <cols>
    <col min="5" max="5" width="13.5" bestFit="1" customWidth="1"/>
    <col min="12" max="12" width="12.5" bestFit="1" customWidth="1"/>
    <col min="20" max="20" width="12.83203125" bestFit="1" customWidth="1"/>
  </cols>
  <sheetData>
    <row r="1" spans="1:24">
      <c r="E1" t="s">
        <v>17</v>
      </c>
      <c r="F1">
        <f>2.24/100</f>
        <v>2.2400000000000003E-2</v>
      </c>
    </row>
    <row r="2" spans="1:24">
      <c r="E2" t="s">
        <v>18</v>
      </c>
      <c r="F2">
        <f>0.15/100</f>
        <v>1.5E-3</v>
      </c>
    </row>
    <row r="3" spans="1:24">
      <c r="E3" t="s">
        <v>42</v>
      </c>
      <c r="F3">
        <f>F1/F2</f>
        <v>14.933333333333335</v>
      </c>
      <c r="G3">
        <v>25.45</v>
      </c>
    </row>
    <row r="5" spans="1:24">
      <c r="B5" t="s">
        <v>23</v>
      </c>
      <c r="C5">
        <v>10</v>
      </c>
      <c r="E5" t="s">
        <v>27</v>
      </c>
      <c r="F5" s="2">
        <v>8.8539999999999992E-12</v>
      </c>
    </row>
    <row r="6" spans="1:24">
      <c r="B6" t="s">
        <v>24</v>
      </c>
      <c r="C6">
        <v>5.5E-2</v>
      </c>
      <c r="E6" t="s">
        <v>28</v>
      </c>
      <c r="F6">
        <f>2*PI()</f>
        <v>6.2831853071795862</v>
      </c>
    </row>
    <row r="7" spans="1:24">
      <c r="E7" t="s">
        <v>29</v>
      </c>
      <c r="F7">
        <f>4*F1</f>
        <v>8.9600000000000013E-2</v>
      </c>
      <c r="S7" t="s">
        <v>0</v>
      </c>
      <c r="T7" t="s">
        <v>38</v>
      </c>
      <c r="U7" t="s">
        <v>39</v>
      </c>
      <c r="V7" t="s">
        <v>40</v>
      </c>
      <c r="X7" t="s">
        <v>41</v>
      </c>
    </row>
    <row r="8" spans="1:24">
      <c r="B8" t="s">
        <v>25</v>
      </c>
      <c r="C8">
        <v>188.9</v>
      </c>
      <c r="E8" t="s">
        <v>30</v>
      </c>
      <c r="F8">
        <f>9*F2</f>
        <v>1.35E-2</v>
      </c>
      <c r="S8">
        <v>2</v>
      </c>
      <c r="T8" s="4">
        <f>S8^(3/2)</f>
        <v>2.8284271247461898</v>
      </c>
      <c r="U8" s="2">
        <f>T8*$P$13</f>
        <v>1.0894242961715008E-3</v>
      </c>
      <c r="V8" s="3">
        <f>U8*1000</f>
        <v>1.0894242961715008</v>
      </c>
      <c r="X8" s="3">
        <f>V8^(2/3)</f>
        <v>1.0587612493382741</v>
      </c>
    </row>
    <row r="9" spans="1:24">
      <c r="C9">
        <v>0</v>
      </c>
      <c r="E9" t="s">
        <v>31</v>
      </c>
      <c r="F9">
        <f>(4/9)*G3</f>
        <v>11.31111111111111</v>
      </c>
      <c r="S9">
        <v>3</v>
      </c>
      <c r="T9" s="4">
        <f t="shared" ref="T9:T18" si="0">S9^(3/2)</f>
        <v>5.196152422706632</v>
      </c>
      <c r="U9" s="2">
        <f t="shared" ref="U9:U18" si="1">T9*$P$13</f>
        <v>2.0014002292581558E-3</v>
      </c>
      <c r="V9" s="3">
        <f t="shared" ref="V9:V18" si="2">U9*1000</f>
        <v>2.0014002292581559</v>
      </c>
      <c r="X9" s="3">
        <f t="shared" ref="X9:X18" si="3">V9^(2/3)</f>
        <v>1.5881418740074114</v>
      </c>
    </row>
    <row r="10" spans="1:24">
      <c r="B10" t="s">
        <v>26</v>
      </c>
      <c r="C10">
        <f>C8^(-3/2)</f>
        <v>3.8516965370612497E-4</v>
      </c>
      <c r="H10" t="s">
        <v>33</v>
      </c>
      <c r="I10" s="2">
        <f>C10/F11</f>
        <v>612107.08805418259</v>
      </c>
      <c r="J10" t="s">
        <v>34</v>
      </c>
      <c r="K10" s="2">
        <f>I10^2</f>
        <v>374675087246.17084</v>
      </c>
      <c r="L10" t="s">
        <v>22</v>
      </c>
      <c r="M10" s="2">
        <f>K10/2</f>
        <v>187337543623.08542</v>
      </c>
      <c r="S10">
        <v>4</v>
      </c>
      <c r="T10" s="4">
        <f t="shared" si="0"/>
        <v>7.9999999999999982</v>
      </c>
      <c r="U10" s="2">
        <f t="shared" si="1"/>
        <v>3.0813572296489993E-3</v>
      </c>
      <c r="V10" s="3">
        <f t="shared" si="2"/>
        <v>3.0813572296489995</v>
      </c>
      <c r="X10" s="3">
        <f t="shared" si="3"/>
        <v>2.1175224986765482</v>
      </c>
    </row>
    <row r="11" spans="1:24">
      <c r="E11" t="s">
        <v>32</v>
      </c>
      <c r="F11" s="2">
        <f>F6*F5*F9</f>
        <v>6.2925207242826519E-10</v>
      </c>
      <c r="L11" t="s">
        <v>36</v>
      </c>
      <c r="M11" s="2">
        <v>210000000000</v>
      </c>
      <c r="N11" t="s">
        <v>34</v>
      </c>
      <c r="O11" s="2">
        <f>M11*2</f>
        <v>420000000000</v>
      </c>
      <c r="S11">
        <v>5</v>
      </c>
      <c r="T11" s="4">
        <f t="shared" si="0"/>
        <v>11.180339887498945</v>
      </c>
      <c r="U11" s="2">
        <f t="shared" si="1"/>
        <v>4.306327642784746E-3</v>
      </c>
      <c r="V11" s="3">
        <f t="shared" si="2"/>
        <v>4.3063276427847459</v>
      </c>
      <c r="X11" s="3">
        <f t="shared" si="3"/>
        <v>2.6469031233456852</v>
      </c>
    </row>
    <row r="12" spans="1:24">
      <c r="N12" t="s">
        <v>37</v>
      </c>
      <c r="O12">
        <f>SQRT(O11)</f>
        <v>648074.06984078605</v>
      </c>
      <c r="S12">
        <v>6</v>
      </c>
      <c r="T12" s="4">
        <f t="shared" si="0"/>
        <v>14.696938456699071</v>
      </c>
      <c r="U12" s="2">
        <f t="shared" si="1"/>
        <v>5.6608146959070127E-3</v>
      </c>
      <c r="V12" s="3">
        <f t="shared" si="2"/>
        <v>5.6608146959070123</v>
      </c>
      <c r="X12" s="3">
        <f t="shared" si="3"/>
        <v>3.1762837480148227</v>
      </c>
    </row>
    <row r="13" spans="1:24">
      <c r="A13" t="s">
        <v>35</v>
      </c>
      <c r="P13" s="2">
        <f>F11*I10</f>
        <v>3.8516965370612502E-4</v>
      </c>
      <c r="S13">
        <v>7</v>
      </c>
      <c r="T13" s="4">
        <f t="shared" si="0"/>
        <v>18.520259177452129</v>
      </c>
      <c r="U13" s="2">
        <f t="shared" si="1"/>
        <v>7.1334418139269206E-3</v>
      </c>
      <c r="V13" s="3">
        <f t="shared" si="2"/>
        <v>7.1334418139269209</v>
      </c>
      <c r="X13" s="3">
        <f t="shared" si="3"/>
        <v>3.7056643726839593</v>
      </c>
    </row>
    <row r="14" spans="1:24">
      <c r="A14">
        <v>2.1349999999999998</v>
      </c>
      <c r="S14">
        <v>8</v>
      </c>
      <c r="T14" s="4">
        <f t="shared" si="0"/>
        <v>22.627416997969508</v>
      </c>
      <c r="U14" s="2">
        <f t="shared" si="1"/>
        <v>8.715394369372003E-3</v>
      </c>
      <c r="V14" s="3">
        <f t="shared" si="2"/>
        <v>8.7153943693720031</v>
      </c>
      <c r="X14" s="3">
        <f t="shared" si="3"/>
        <v>4.2350449973530955</v>
      </c>
    </row>
    <row r="15" spans="1:24">
      <c r="A15">
        <f>A14*100</f>
        <v>213.49999999999997</v>
      </c>
      <c r="S15">
        <v>9</v>
      </c>
      <c r="T15" s="4">
        <f t="shared" si="0"/>
        <v>27</v>
      </c>
      <c r="U15" s="2">
        <f t="shared" si="1"/>
        <v>1.0399580650065375E-2</v>
      </c>
      <c r="V15" s="3">
        <f t="shared" si="2"/>
        <v>10.399580650065374</v>
      </c>
      <c r="X15" s="3">
        <f t="shared" si="3"/>
        <v>4.764425622022233</v>
      </c>
    </row>
    <row r="16" spans="1:24">
      <c r="A16">
        <f>A15/100</f>
        <v>2.1349999999999998</v>
      </c>
      <c r="S16">
        <v>10</v>
      </c>
      <c r="T16" s="4">
        <f t="shared" si="0"/>
        <v>31.622776601683803</v>
      </c>
      <c r="U16" s="2">
        <f t="shared" si="1"/>
        <v>1.2180133912896704E-2</v>
      </c>
      <c r="V16" s="3">
        <f t="shared" si="2"/>
        <v>12.180133912896704</v>
      </c>
      <c r="X16" s="3">
        <f t="shared" si="3"/>
        <v>5.2938062466913731</v>
      </c>
    </row>
    <row r="17" spans="1:24">
      <c r="K17" s="2"/>
      <c r="S17">
        <v>11</v>
      </c>
      <c r="T17" s="4">
        <f t="shared" si="0"/>
        <v>36.482872693909407</v>
      </c>
      <c r="U17" s="2">
        <f t="shared" si="1"/>
        <v>1.4052095441717731E-2</v>
      </c>
      <c r="V17" s="3">
        <f t="shared" si="2"/>
        <v>14.05209544171773</v>
      </c>
      <c r="X17" s="3">
        <f t="shared" si="3"/>
        <v>5.8231868713605097</v>
      </c>
    </row>
    <row r="18" spans="1:24">
      <c r="A18">
        <f>1/0.4676</f>
        <v>2.1385799828913599</v>
      </c>
      <c r="K18" s="2"/>
      <c r="N18" s="2"/>
      <c r="S18">
        <v>12</v>
      </c>
      <c r="T18" s="4">
        <f t="shared" si="0"/>
        <v>41.56921938165307</v>
      </c>
      <c r="U18" s="2">
        <f t="shared" si="1"/>
        <v>1.6011201834065254E-2</v>
      </c>
      <c r="V18" s="3">
        <f t="shared" si="2"/>
        <v>16.011201834065254</v>
      </c>
      <c r="X18" s="3">
        <f t="shared" si="3"/>
        <v>6.3525674960296463</v>
      </c>
    </row>
    <row r="19" spans="1:24">
      <c r="A19">
        <f>100*A18</f>
        <v>213.85799828913599</v>
      </c>
    </row>
    <row r="22" spans="1:24">
      <c r="X22">
        <f>10/(X18-X8)</f>
        <v>1.8889999999999996</v>
      </c>
    </row>
    <row r="24" spans="1:24">
      <c r="W24">
        <f>(41.6-2.8)/(9.95-0.68)</f>
        <v>4.1855447680690405</v>
      </c>
      <c r="X24">
        <f>10/(4.63-0.77)</f>
        <v>2.5906735751295336</v>
      </c>
    </row>
    <row r="27" spans="1:24">
      <c r="D27">
        <v>2</v>
      </c>
      <c r="E27">
        <v>2.24E-2</v>
      </c>
    </row>
    <row r="28" spans="1:24">
      <c r="E28">
        <v>8.8000000000000003E-4</v>
      </c>
    </row>
    <row r="29" spans="1:24">
      <c r="E29">
        <f>E27/E28</f>
        <v>25.454545454545453</v>
      </c>
    </row>
    <row r="30" spans="1:24">
      <c r="C30">
        <f>1/0.46766</f>
        <v>2.1383056066373003</v>
      </c>
    </row>
    <row r="35" spans="12:12">
      <c r="L35">
        <f>1/0.0467</f>
        <v>21.413276231263385</v>
      </c>
    </row>
    <row r="42" spans="12:12">
      <c r="L42">
        <f>1/(0.055)</f>
        <v>18.181818181818183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Experiment 1</vt:lpstr>
      <vt:lpstr>Experiment 2</vt:lpstr>
      <vt:lpstr>Final Results</vt:lpstr>
      <vt:lpstr>Attempt to replicate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allenam</dc:creator>
  <cp:lastModifiedBy>Andrew Mark</cp:lastModifiedBy>
  <dcterms:created xsi:type="dcterms:W3CDTF">2012-09-24T10:09:26Z</dcterms:created>
  <dcterms:modified xsi:type="dcterms:W3CDTF">2012-10-04T20:50:33Z</dcterms:modified>
</cp:coreProperties>
</file>